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115" activeTab="1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<sst xmlns="http://schemas.openxmlformats.org/spreadsheetml/2006/main" count="58" uniqueCount="51">
  <si>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</si>
  <si>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</si>
  <si>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</si>
  <si>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</si>
  <si>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</si>
  <si>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</si>
  <si>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</si>
  <si>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</si>
  <si>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</si>
  <si>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</si>
  <si>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</si>
  <si>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</si>
  <si>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</si>
  <si>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</si>
  <si>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</si>
  <si>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</si>
  <si>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</si>
  <si>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</si>
  <si>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</si>
  <si>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</si>
  <si>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</si>
  <si>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</si>
  <si>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</si>
  <si>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</si>
  <si>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</si>
  <si>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</si>
  <si>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</si>
  <si>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</si>
  <si>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</si>
  <si>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</si>
  <si>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Broomfield Parish Council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</si>
  <si>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 Essex</t>
    </r>
  </si>
  <si>
    <t>2019/20</t>
  </si>
  <si>
    <t>2020/21</t>
  </si>
  <si>
    <t xml:space="preserve">There was a large reduction in CIL money received - £131,891 in 2019/20 £107,768 in 2020/21. Otherwise variance would be less than 15% </t>
  </si>
  <si>
    <t>The loan repayment of £16,728 in 2020/21 was the outstanding debt on the PWLB loan. This has now be re-paid in full.</t>
  </si>
  <si>
    <t>Variation due to grants awarded - £78,720 in 2019/20 for New car-park and cycleway. £113,904 in 2020/21 for new car park and playground renovation.</t>
  </si>
  <si>
    <t>New playground equipment purchased March 2021 valued at £30,448</t>
  </si>
  <si>
    <t>Outstanding PWLB loan of £16588 paid in full.</t>
  </si>
  <si>
    <t>CIL Funds</t>
  </si>
  <si>
    <t>Car Park Maintenance</t>
  </si>
  <si>
    <t>Professional fees</t>
  </si>
  <si>
    <t>Election costs</t>
  </si>
  <si>
    <t>Playground equipment</t>
  </si>
  <si>
    <t>Village maintenance</t>
  </si>
  <si>
    <t>New machinery</t>
  </si>
  <si>
    <t>Tree maintenance</t>
  </si>
  <si>
    <t>Allotment maintenance</t>
  </si>
  <si>
    <t>Bench replacement</t>
  </si>
  <si>
    <t>Bus shelter</t>
  </si>
  <si>
    <t>Allotment deposits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</si>
</sst>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3" fontId="50" fillId="0" borderId="0" xfId="0" applyNumberFormat="1" applyFont="1" applyAlignment="1">
      <alignment/>
    </xf>
    <xf numFmtId="10" fontId="50" fillId="0" borderId="0" xfId="0" applyNumberFormat="1" applyFont="1" applyAlignment="1">
      <alignment/>
    </xf>
    <xf numFmtId="0" fontId="50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50" fillId="35" borderId="11" xfId="0" applyFont="1" applyFill="1" applyBorder="1" applyAlignment="1">
      <alignment wrapText="1"/>
    </xf>
    <xf numFmtId="0" fontId="51" fillId="0" borderId="0" xfId="0" applyFont="1" applyAlignment="1">
      <alignment/>
    </xf>
    <xf numFmtId="0" fontId="50" fillId="0" borderId="0" xfId="0" applyFont="1" applyAlignment="1">
      <alignment wrapText="1"/>
    </xf>
    <xf numFmtId="0" fontId="50" fillId="0" borderId="11" xfId="0" applyFont="1" applyBorder="1" applyAlignment="1">
      <alignment wrapText="1"/>
    </xf>
    <xf numFmtId="0" fontId="50" fillId="36" borderId="11" xfId="0" applyFont="1" applyFill="1" applyBorder="1" applyAlignment="1">
      <alignment wrapText="1"/>
    </xf>
    <xf numFmtId="0" fontId="50" fillId="36" borderId="11" xfId="0" applyFont="1" applyFill="1" applyBorder="1" applyAlignment="1">
      <alignment wrapText="1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50" fillId="0" borderId="0" xfId="0" applyNumberFormat="1" applyFont="1" applyFill="1" applyAlignment="1">
      <alignment/>
    </xf>
    <xf numFmtId="0" fontId="50" fillId="0" borderId="0" xfId="0" applyFont="1" applyFill="1" applyAlignment="1">
      <alignment horizontal="center"/>
    </xf>
    <xf numFmtId="0" fontId="50" fillId="0" borderId="0" xfId="0" applyFont="1" applyBorder="1" applyAlignment="1">
      <alignment horizontal="center" wrapText="1"/>
    </xf>
    <xf numFmtId="0" fontId="52" fillId="37" borderId="11" xfId="0" applyFont="1" applyFill="1" applyBorder="1" applyAlignment="1">
      <alignment horizontal="center" wrapText="1"/>
    </xf>
    <xf numFmtId="0" fontId="50" fillId="0" borderId="0" xfId="0" applyFont="1" applyAlignment="1">
      <alignment wrapText="1"/>
    </xf>
    <xf numFmtId="0" fontId="50" fillId="0" borderId="0" xfId="0" applyFont="1" applyBorder="1" applyAlignment="1">
      <alignment horizontal="left" vertical="center"/>
    </xf>
    <xf numFmtId="0" fontId="50" fillId="0" borderId="0" xfId="0" applyFont="1" applyAlignment="1">
      <alignment wrapText="1"/>
    </xf>
    <xf numFmtId="0" fontId="50" fillId="0" borderId="0" xfId="0" applyFont="1" applyFill="1" applyBorder="1" applyAlignment="1">
      <alignment horizontal="left" vertical="top" wrapText="1"/>
    </xf>
    <xf numFmtId="0" fontId="52" fillId="0" borderId="0" xfId="0" applyFont="1" applyAlignment="1">
      <alignment/>
    </xf>
    <xf numFmtId="0" fontId="50" fillId="0" borderId="0" xfId="0" applyFont="1" applyFill="1" applyAlignment="1">
      <alignment wrapText="1"/>
    </xf>
    <xf numFmtId="0" fontId="53" fillId="0" borderId="0" xfId="0" applyFont="1" applyAlignment="1">
      <alignment/>
    </xf>
    <xf numFmtId="0" fontId="54" fillId="0" borderId="0" xfId="0" applyFont="1" applyAlignment="1">
      <alignment horizontal="left" vertical="center" indent="2"/>
    </xf>
    <xf numFmtId="0" fontId="48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8" fillId="0" borderId="13" xfId="0" applyFont="1" applyBorder="1" applyAlignment="1">
      <alignment/>
    </xf>
    <xf numFmtId="0" fontId="50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 wrapText="1"/>
    </xf>
    <xf numFmtId="0" fontId="52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wrapText="1"/>
    </xf>
    <xf numFmtId="0" fontId="50" fillId="0" borderId="14" xfId="0" applyFont="1" applyBorder="1" applyAlignment="1">
      <alignment wrapText="1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3" fontId="0" fillId="38" borderId="0" xfId="0" applyNumberFormat="1" applyFill="1" applyAlignment="1">
      <alignment/>
    </xf>
    <xf numFmtId="3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zoomScalePageLayoutView="0" workbookViewId="0" topLeftCell="A16">
      <selection activeCell="N30" sqref="N30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2" t="s">
        <v>16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9"/>
    </row>
    <row r="2" spans="1:13" ht="15.75">
      <c r="A2" s="29" t="s">
        <v>17</v>
      </c>
      <c r="B2" s="24"/>
      <c r="C2" s="37" t="s">
        <v>30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31</v>
      </c>
      <c r="C3" s="36"/>
      <c r="L3" s="9"/>
    </row>
    <row r="4" ht="14.25">
      <c r="A4" s="1" t="s">
        <v>28</v>
      </c>
    </row>
    <row r="5" spans="1:13" ht="99" customHeight="1">
      <c r="A5" s="49" t="s">
        <v>29</v>
      </c>
      <c r="B5" s="50"/>
      <c r="C5" s="50"/>
      <c r="D5" s="50"/>
      <c r="E5" s="50"/>
      <c r="F5" s="50"/>
      <c r="G5" s="50"/>
      <c r="H5" s="50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32</v>
      </c>
      <c r="E8" s="27"/>
      <c r="F8" s="38" t="s">
        <v>33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26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267184</v>
      </c>
      <c r="F11" s="8">
        <v>325324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6" t="s">
        <v>19</v>
      </c>
      <c r="B13" s="47"/>
      <c r="C13" s="48"/>
      <c r="D13" s="8">
        <v>131034</v>
      </c>
      <c r="F13" s="8">
        <v>139316</v>
      </c>
      <c r="G13" s="5">
        <f>F13-D13</f>
        <v>8282</v>
      </c>
      <c r="H13" s="6">
        <f>IF((D13&gt;F13),(D13-F13)/D13,IF(D13&lt;F13,-(D13-F13)/D13,IF(D13=F13,0)))</f>
        <v>0.06320496970251996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29.25" thickBot="1">
      <c r="A15" s="44" t="s">
        <v>3</v>
      </c>
      <c r="B15" s="44"/>
      <c r="C15" s="44"/>
      <c r="D15" s="8">
        <v>150503</v>
      </c>
      <c r="F15" s="8">
        <v>109880</v>
      </c>
      <c r="G15" s="5">
        <f>F15-D15</f>
        <v>-40623</v>
      </c>
      <c r="H15" s="6">
        <f>IF((D15&gt;F15),(D15-F15)/D15,IF(D15&lt;F15,-(D15-F15)/D15,IF(D15=F15,0)))</f>
        <v>0.2699148854175664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IF((H15&lt;15%)*AND(G15&lt;100000),"NO","YES")</f>
        <v>YES</v>
      </c>
      <c r="M15" s="10" t="str">
        <f>IF((L15="YES")*AND(I15+J15&lt;1),"Explanation not required, difference less than £200"," ")</f>
        <v> </v>
      </c>
      <c r="N15" s="13" t="s">
        <v>34</v>
      </c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4" t="s">
        <v>4</v>
      </c>
      <c r="B17" s="44"/>
      <c r="C17" s="44"/>
      <c r="D17" s="8">
        <v>64369</v>
      </c>
      <c r="F17" s="8">
        <v>68345</v>
      </c>
      <c r="G17" s="5">
        <f>F17-D17</f>
        <v>3976</v>
      </c>
      <c r="H17" s="6">
        <f>IF((D17&gt;F17),(D17-F17)/D17,IF(D17&lt;F17,-(D17-F17)/D17,IF(D17=F17,0)))</f>
        <v>0.06176886389411052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0</v>
      </c>
      <c r="L17" s="4" t="str">
        <f>IF((H17&lt;15%)*AND(G17&lt;100000),"NO","YES")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29.25" thickBot="1">
      <c r="A19" s="44" t="s">
        <v>7</v>
      </c>
      <c r="B19" s="44"/>
      <c r="C19" s="44"/>
      <c r="D19" s="8">
        <v>33457</v>
      </c>
      <c r="F19" s="8">
        <v>16728</v>
      </c>
      <c r="G19" s="5">
        <f>F19-D19</f>
        <v>-16729</v>
      </c>
      <c r="H19" s="6">
        <f>IF((D19&gt;F19),(D19-F19)/D19,IF(D19&lt;F19,-(D19-F19)/D19,IF(D19=F19,0)))</f>
        <v>0.5000149445556984</v>
      </c>
      <c r="I19" s="3">
        <f>IF(D19-F19&lt;200,0,IF(D19-F19&gt;200,1,IF(D19-F19=200,1)))</f>
        <v>1</v>
      </c>
      <c r="J19" s="3">
        <f>IF(F19-D19&lt;200,0,IF(F19-D19&gt;200,1,IF(F19-D19=200,1)))</f>
        <v>0</v>
      </c>
      <c r="K19" s="4">
        <f>IF(H19&lt;0.15,0,IF(H19&gt;0.15,1,IF(H19=0.15,1)))</f>
        <v>1</v>
      </c>
      <c r="L19" s="4" t="str">
        <f>IF((H19&lt;15%)*AND(G19&lt;100000),"NO","YES")</f>
        <v>YES</v>
      </c>
      <c r="M19" s="10" t="str">
        <f>IF((L19="YES")*AND(I19+J19&lt;1),"Explanation not required, difference less than £200"," ")</f>
        <v> </v>
      </c>
      <c r="N19" s="13" t="s">
        <v>35</v>
      </c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29.25" thickBot="1">
      <c r="A21" s="44" t="s">
        <v>20</v>
      </c>
      <c r="B21" s="44"/>
      <c r="C21" s="44"/>
      <c r="D21" s="8">
        <v>125571</v>
      </c>
      <c r="F21" s="8">
        <v>158763</v>
      </c>
      <c r="G21" s="5">
        <f>F21-D21</f>
        <v>33192</v>
      </c>
      <c r="H21" s="6">
        <f>IF((D21&gt;F21),(D21-F21)/D21,IF(D21&lt;F21,-(D21-F21)/D21,IF(D21=F21,0)))</f>
        <v>0.2643285471964068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IF((H21&lt;15%)*AND(G21&lt;100000),"NO","YES")</f>
        <v>YES</v>
      </c>
      <c r="M21" s="10" t="str">
        <f>IF((L21="YES")*AND(I21+J21&lt;1),"Explanation not required, difference less than £200"," ")</f>
        <v> </v>
      </c>
      <c r="N21" s="13" t="s">
        <v>36</v>
      </c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325324</v>
      </c>
      <c r="F23" s="2">
        <f>F11+F13+F15-F17-F19-F21</f>
        <v>330684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F24" s="18"/>
      <c r="G24" s="5"/>
      <c r="H24" s="19"/>
      <c r="K24" s="20"/>
      <c r="L24" s="21" t="str">
        <f>IF(F23&gt;(2*F13),"YES","NO")</f>
        <v>YES</v>
      </c>
      <c r="M24" s="22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4" t="s">
        <v>9</v>
      </c>
      <c r="B26" s="44"/>
      <c r="C26" s="44"/>
      <c r="D26" s="8">
        <v>287783</v>
      </c>
      <c r="F26" s="8">
        <v>316949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4" t="s">
        <v>8</v>
      </c>
      <c r="B28" s="44"/>
      <c r="C28" s="44"/>
      <c r="D28" s="8">
        <v>174303</v>
      </c>
      <c r="F28" s="8">
        <v>200766</v>
      </c>
      <c r="G28" s="5">
        <f>F28-D28</f>
        <v>26463</v>
      </c>
      <c r="H28" s="6">
        <f>IF((D28&gt;F28),(D28-F28)/D28,IF(D28&lt;F28,-(D28-F28)/D28,IF(D28=F28,0)))</f>
        <v>0.15182182750727183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1</v>
      </c>
      <c r="L28" s="4" t="str">
        <f>IF((H28&lt;15%)*AND(G28&lt;100000),"NO","YES")</f>
        <v>YES</v>
      </c>
      <c r="M28" s="10" t="str">
        <f>IF((L28="YES")*AND(I28+J28&lt;1),"Explanation not required, difference less than £200"," ")</f>
        <v> </v>
      </c>
      <c r="N28" s="13" t="s">
        <v>37</v>
      </c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4" t="s">
        <v>6</v>
      </c>
      <c r="B30" s="44"/>
      <c r="C30" s="44"/>
      <c r="D30" s="8">
        <v>16588</v>
      </c>
      <c r="F30" s="8">
        <v>0</v>
      </c>
      <c r="G30" s="5">
        <f>F30-D30</f>
        <v>-16588</v>
      </c>
      <c r="H30" s="6">
        <f>IF((D30&gt;F30),(D30-F30)/D30,IF(D30&lt;F30,-(D30-F30)/D30,IF(D30=F30,0)))</f>
        <v>1</v>
      </c>
      <c r="I30" s="3">
        <f>IF(D30-F30&lt;100,0,IF(D30-F30&gt;100,1,IF(D30-F30=100,1)))</f>
        <v>1</v>
      </c>
      <c r="J30" s="3">
        <f>IF(F30-D30&lt;100,0,IF(F30-D30&gt;100,1,IF(F30-D30=100,1)))</f>
        <v>0</v>
      </c>
      <c r="K30" s="4">
        <f>IF(H30&lt;0.15,0,IF(H30&gt;0.15,1,IF(H30=0.15,1)))</f>
        <v>1</v>
      </c>
      <c r="L30" s="4" t="str">
        <f>IF((H30&lt;15%)*AND(G30&lt;100000),"NO","YES")</f>
        <v>YES</v>
      </c>
      <c r="M30" s="10" t="str">
        <f>IF((L30="YES")*AND(I30+J30&lt;1),"Explanation not required, difference less than £200"," ")</f>
        <v> </v>
      </c>
      <c r="N30" s="13" t="s">
        <v>38</v>
      </c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18</v>
      </c>
    </row>
  </sheetData>
  <sheetProtection/>
  <mergeCells count="11"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  <mergeCell ref="A19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zoomScalePageLayoutView="0" workbookViewId="0" topLeftCell="A1">
      <selection activeCell="H25" sqref="H25"/>
    </sheetView>
  </sheetViews>
  <sheetFormatPr defaultColWidth="9.140625" defaultRowHeight="15"/>
  <cols>
    <col min="2" max="2" width="20.421875" style="0" bestFit="1" customWidth="1"/>
  </cols>
  <sheetData>
    <row r="1" ht="15.75" customHeight="1">
      <c r="A1" s="32" t="s">
        <v>21</v>
      </c>
    </row>
    <row r="2" ht="15.75" customHeight="1">
      <c r="A2" s="41" t="s">
        <v>27</v>
      </c>
    </row>
    <row r="3" ht="15">
      <c r="A3" t="s">
        <v>22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23</v>
      </c>
    </row>
    <row r="7" spans="2:4" ht="15">
      <c r="B7" s="34" t="s">
        <v>39</v>
      </c>
      <c r="D7" s="51">
        <v>166478</v>
      </c>
    </row>
    <row r="8" spans="2:4" ht="15" customHeight="1">
      <c r="B8" s="34" t="s">
        <v>40</v>
      </c>
      <c r="D8" s="34">
        <v>3000</v>
      </c>
    </row>
    <row r="9" spans="2:4" ht="15">
      <c r="B9" s="34" t="s">
        <v>41</v>
      </c>
      <c r="D9" s="34">
        <v>2115</v>
      </c>
    </row>
    <row r="10" spans="2:4" ht="15">
      <c r="B10" s="34" t="s">
        <v>42</v>
      </c>
      <c r="D10" s="34">
        <v>1000</v>
      </c>
    </row>
    <row r="11" spans="2:4" ht="15">
      <c r="B11" s="34" t="s">
        <v>43</v>
      </c>
      <c r="D11" s="34">
        <v>8000</v>
      </c>
    </row>
    <row r="12" spans="2:4" ht="15">
      <c r="B12" s="34" t="s">
        <v>44</v>
      </c>
      <c r="D12" s="34">
        <v>6000</v>
      </c>
    </row>
    <row r="13" spans="2:4" ht="15">
      <c r="B13" s="34" t="s">
        <v>45</v>
      </c>
      <c r="D13" s="34">
        <v>1000</v>
      </c>
    </row>
    <row r="14" spans="2:4" ht="15">
      <c r="B14" s="34" t="s">
        <v>46</v>
      </c>
      <c r="D14" s="34">
        <v>1000</v>
      </c>
    </row>
    <row r="15" spans="2:4" ht="15">
      <c r="B15" s="34" t="s">
        <v>47</v>
      </c>
      <c r="D15" s="34">
        <v>1000</v>
      </c>
    </row>
    <row r="16" spans="2:4" ht="15">
      <c r="B16" s="34" t="s">
        <v>48</v>
      </c>
      <c r="D16" s="34">
        <v>1000</v>
      </c>
    </row>
    <row r="17" spans="2:4" ht="15">
      <c r="B17" s="34" t="s">
        <v>49</v>
      </c>
      <c r="D17" s="34">
        <v>3000</v>
      </c>
    </row>
    <row r="18" spans="2:4" ht="15">
      <c r="B18" s="34" t="s">
        <v>50</v>
      </c>
      <c r="D18" s="34">
        <v>423</v>
      </c>
    </row>
    <row r="19" ht="15">
      <c r="E19" s="52">
        <f>SUM(D7:D18)</f>
        <v>194016</v>
      </c>
    </row>
    <row r="21" spans="1:4" ht="15">
      <c r="A21" s="31" t="s">
        <v>24</v>
      </c>
      <c r="D21" s="34">
        <v>136667</v>
      </c>
    </row>
    <row r="22" ht="15">
      <c r="E22" s="33">
        <f>D21</f>
        <v>136667</v>
      </c>
    </row>
    <row r="23" spans="1:6" ht="15.75" thickBot="1">
      <c r="A23" s="31" t="s">
        <v>25</v>
      </c>
      <c r="F23" s="35">
        <f>E19+E22</f>
        <v>330683</v>
      </c>
    </row>
    <row r="24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Broomfield Parish</cp:lastModifiedBy>
  <cp:lastPrinted>2021-06-23T18:03:27Z</cp:lastPrinted>
  <dcterms:created xsi:type="dcterms:W3CDTF">2012-07-11T10:01:28Z</dcterms:created>
  <dcterms:modified xsi:type="dcterms:W3CDTF">2021-06-23T18:04:08Z</dcterms:modified>
  <cp:category/>
  <cp:version/>
  <cp:contentType/>
  <cp:contentStatus/>
</cp:coreProperties>
</file>